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710" windowHeight="10140"/>
  </bookViews>
  <sheets>
    <sheet name="CS3" sheetId="1" r:id="rId1"/>
    <sheet name="Sheet1" sheetId="4" r:id="rId2"/>
  </sheets>
  <calcPr calcId="152511"/>
</workbook>
</file>

<file path=xl/calcChain.xml><?xml version="1.0" encoding="utf-8"?>
<calcChain xmlns="http://schemas.openxmlformats.org/spreadsheetml/2006/main">
  <c r="E32" i="1" l="1"/>
  <c r="E24" i="1" l="1"/>
  <c r="E20" i="1"/>
  <c r="F24" i="1" l="1"/>
  <c r="B61" i="1"/>
  <c r="B60" i="1"/>
  <c r="B59" i="1"/>
  <c r="C41" i="1" l="1"/>
  <c r="C40" i="1"/>
  <c r="C39" i="1"/>
  <c r="C25" i="1"/>
  <c r="D25" i="1" l="1"/>
  <c r="B27" i="1" l="1"/>
  <c r="E44" i="1" l="1"/>
  <c r="D44" i="1"/>
  <c r="B51" i="1"/>
  <c r="C51" i="1" s="1"/>
  <c r="E9" i="1"/>
  <c r="E25" i="1" s="1"/>
  <c r="D9" i="1"/>
  <c r="E52" i="1" l="1"/>
  <c r="B28" i="1"/>
  <c r="E27" i="1" s="1"/>
  <c r="F9" i="1"/>
  <c r="F25" i="1" s="1"/>
  <c r="J30" i="1" s="1"/>
  <c r="J32" i="1" s="1"/>
  <c r="I45" i="1" l="1"/>
  <c r="I46" i="1" s="1"/>
  <c r="H45" i="1"/>
  <c r="H46" i="1" s="1"/>
  <c r="F27" i="1"/>
  <c r="G28" i="1"/>
  <c r="J47" i="1" l="1"/>
  <c r="J52" i="1" s="1"/>
  <c r="J55" i="1" s="1"/>
  <c r="F29" i="1"/>
  <c r="F32" i="1" s="1"/>
  <c r="C36" i="1" s="1"/>
  <c r="J59" i="1" l="1"/>
  <c r="H59" i="1" s="1"/>
  <c r="I59" i="1" s="1"/>
  <c r="J60" i="1"/>
  <c r="H60" i="1" s="1"/>
  <c r="I60" i="1" s="1"/>
  <c r="J61" i="1"/>
  <c r="H61" i="1" s="1"/>
  <c r="I61" i="1" s="1"/>
  <c r="H55" i="1"/>
  <c r="I55" i="1" s="1"/>
  <c r="F36" i="1"/>
  <c r="C38" i="1"/>
  <c r="F44" i="1"/>
  <c r="E45" i="1" l="1"/>
  <c r="E46" i="1" s="1"/>
  <c r="D45" i="1"/>
  <c r="D46" i="1" s="1"/>
  <c r="F40" i="1"/>
  <c r="F39" i="1"/>
  <c r="F41" i="1"/>
  <c r="F46" i="1" l="1"/>
  <c r="E56" i="1"/>
  <c r="C56" i="1" s="1"/>
  <c r="D56" i="1" s="1"/>
  <c r="F47" i="1" l="1"/>
  <c r="F52" i="1" s="1"/>
  <c r="E55" i="1" s="1"/>
  <c r="E57" i="1" l="1"/>
  <c r="B62" i="1" s="1"/>
  <c r="C55" i="1"/>
  <c r="E62" i="1" l="1"/>
  <c r="C62" i="1" s="1"/>
  <c r="D62" i="1" s="1"/>
  <c r="J62" i="1"/>
  <c r="H62" i="1" s="1"/>
  <c r="I62" i="1" s="1"/>
  <c r="E61" i="1"/>
  <c r="E59" i="1"/>
  <c r="E60" i="1"/>
  <c r="D55" i="1"/>
  <c r="D57" i="1" s="1"/>
  <c r="C57" i="1"/>
  <c r="C61" i="1" l="1"/>
  <c r="C60" i="1"/>
  <c r="C59" i="1"/>
  <c r="D60" i="1"/>
  <c r="D59" i="1"/>
  <c r="D61" i="1"/>
</calcChain>
</file>

<file path=xl/comments1.xml><?xml version="1.0" encoding="utf-8"?>
<comments xmlns="http://schemas.openxmlformats.org/spreadsheetml/2006/main">
  <authors>
    <author>jmp</author>
  </authors>
  <commentList>
    <comment ref="B15" authorId="0">
      <text>
        <r>
          <rPr>
            <sz val="9"/>
            <color indexed="81"/>
            <rFont val="Tahoma"/>
            <family val="2"/>
          </rPr>
          <t>CS(v)regs 2000 SI2001 no 156, reg 13 … up to 35% of the boarding school fees allowed [but not so as to reduce the income by 50%</t>
        </r>
      </text>
    </comment>
    <comment ref="B16" authorId="0">
      <text>
        <r>
          <rPr>
            <sz val="9"/>
            <color indexed="81"/>
            <rFont val="Tahoma"/>
            <family val="2"/>
          </rPr>
          <t>CS(V)regs 2000 r10.  Can't double up with allowances for overnight stays.</t>
        </r>
      </text>
    </comment>
    <comment ref="B17" authorId="0">
      <text>
        <r>
          <rPr>
            <sz val="9"/>
            <color indexed="81"/>
            <rFont val="Tahoma"/>
            <family val="2"/>
          </rPr>
          <t>CS(V) regs 2000 r11.  The disability of the relevant other child [ie in PP's household.</t>
        </r>
      </text>
    </comment>
    <comment ref="B18" authorId="0">
      <text>
        <r>
          <rPr>
            <sz val="9"/>
            <color indexed="81"/>
            <rFont val="Tahoma"/>
            <family val="2"/>
          </rPr>
          <t>CS(V) regs 2000 r12.   Interest on debt incurred during the relationship for joint benefit - but many exclusions.</t>
        </r>
      </text>
    </comment>
    <comment ref="B19" authorId="0">
      <text>
        <r>
          <rPr>
            <sz val="9"/>
            <color indexed="81"/>
            <rFont val="Tahoma"/>
            <family val="2"/>
          </rPr>
          <t>CS(V) regs 2000 r14.  Interest on mortgages or home improvement loans, where PP has no ongoing interest</t>
        </r>
      </text>
    </comment>
  </commentList>
</comments>
</file>

<file path=xl/sharedStrings.xml><?xml version="1.0" encoding="utf-8"?>
<sst xmlns="http://schemas.openxmlformats.org/spreadsheetml/2006/main" count="159" uniqueCount="151">
  <si>
    <t>p/a</t>
  </si>
  <si>
    <t>p/m</t>
  </si>
  <si>
    <t>p/w</t>
  </si>
  <si>
    <t xml:space="preserve">Fill in the boxes marked in: </t>
  </si>
  <si>
    <t>add holidays</t>
  </si>
  <si>
    <t>so total for year is approx</t>
  </si>
  <si>
    <t>discount is therefore</t>
  </si>
  <si>
    <t>TOTAL SUMS DUE under CS3</t>
  </si>
  <si>
    <t xml:space="preserve"> C S 3</t>
  </si>
  <si>
    <t xml:space="preserve">per fortnight </t>
  </si>
  <si>
    <t>brtb</t>
  </si>
  <si>
    <t>hrtb</t>
  </si>
  <si>
    <t>c/f</t>
  </si>
  <si>
    <t>Insert net after occupational pensions and tax</t>
  </si>
  <si>
    <t>allowance therefore:</t>
  </si>
  <si>
    <t>(note net income calculates automatically otherwise)</t>
  </si>
  <si>
    <t>add back higher rate relief</t>
  </si>
  <si>
    <t>sums that are falling into assessment in the 2 tax brackets:</t>
  </si>
  <si>
    <t>total:</t>
  </si>
  <si>
    <t>Carry forward sum after cap applied:</t>
  </si>
  <si>
    <t>('brt' = basic rate tax bracket and 'hrt' is higher)</t>
  </si>
  <si>
    <r>
      <t xml:space="preserve">3  </t>
    </r>
    <r>
      <rPr>
        <b/>
        <u/>
        <sz val="12"/>
        <rFont val="Arial"/>
        <family val="2"/>
      </rPr>
      <t xml:space="preserve">O… other </t>
    </r>
    <r>
      <rPr>
        <u/>
        <sz val="12"/>
        <rFont val="Arial"/>
        <family val="2"/>
      </rPr>
      <t>Kids: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those in the PP's h'hld</t>
    </r>
  </si>
  <si>
    <r>
      <t xml:space="preserve">4   </t>
    </r>
    <r>
      <rPr>
        <b/>
        <u/>
        <sz val="10"/>
        <rFont val="Arial"/>
        <family val="2"/>
      </rPr>
      <t>D</t>
    </r>
    <r>
      <rPr>
        <sz val="10"/>
        <rFont val="Arial"/>
        <family val="2"/>
      </rPr>
      <t xml:space="preserve">… </t>
    </r>
    <r>
      <rPr>
        <b/>
        <u/>
        <sz val="10"/>
        <rFont val="Arial"/>
        <family val="2"/>
      </rPr>
      <t>Due Kids</t>
    </r>
    <r>
      <rPr>
        <sz val="10"/>
        <rFont val="Arial"/>
        <family val="2"/>
      </rPr>
      <t xml:space="preserve">: </t>
    </r>
    <r>
      <rPr>
        <sz val="9"/>
        <rFont val="Arial"/>
        <family val="2"/>
      </rPr>
      <t>number being supported</t>
    </r>
  </si>
  <si>
    <t>James Pirrie, tel 020 7420 5007</t>
  </si>
  <si>
    <r>
      <t xml:space="preserve">1  </t>
    </r>
    <r>
      <rPr>
        <b/>
        <u/>
        <sz val="10"/>
        <rFont val="Arial"/>
        <family val="2"/>
      </rPr>
      <t>I</t>
    </r>
    <r>
      <rPr>
        <sz val="10"/>
        <rFont val="Arial"/>
        <family val="2"/>
      </rPr>
      <t xml:space="preserve">  ... </t>
    </r>
    <r>
      <rPr>
        <b/>
        <i/>
        <u/>
        <sz val="10"/>
        <rFont val="Arial"/>
        <family val="2"/>
      </rPr>
      <t>income</t>
    </r>
    <r>
      <rPr>
        <sz val="10"/>
        <rFont val="Arial"/>
        <family val="2"/>
      </rPr>
      <t xml:space="preserve"> (gross)</t>
    </r>
  </si>
  <si>
    <r>
      <t xml:space="preserve">2   </t>
    </r>
    <r>
      <rPr>
        <b/>
        <u/>
        <sz val="12"/>
        <rFont val="Arial"/>
        <family val="2"/>
      </rPr>
      <t>P</t>
    </r>
    <r>
      <rPr>
        <sz val="10"/>
        <rFont val="Arial"/>
        <family val="2"/>
      </rPr>
      <t xml:space="preserve">    ... payments to personal </t>
    </r>
    <r>
      <rPr>
        <b/>
        <i/>
        <u/>
        <sz val="10"/>
        <rFont val="Arial"/>
        <family val="2"/>
      </rPr>
      <t>pension</t>
    </r>
    <r>
      <rPr>
        <sz val="8"/>
        <rFont val="Arial"/>
        <family val="2"/>
      </rPr>
      <t>(ie the gross payments made)</t>
    </r>
  </si>
  <si>
    <t>variations</t>
  </si>
  <si>
    <t>School fees</t>
  </si>
  <si>
    <t>Contact costs</t>
  </si>
  <si>
    <t>Illness or disability</t>
  </si>
  <si>
    <t>Debt interest</t>
  </si>
  <si>
    <t>Mortgage interest</t>
  </si>
  <si>
    <t>going down</t>
  </si>
  <si>
    <t>going up</t>
  </si>
  <si>
    <t>Other income</t>
  </si>
  <si>
    <t>Diversion</t>
  </si>
  <si>
    <t>salary, wages, fees, bonus, commission, tips, overtime</t>
  </si>
  <si>
    <t>statutory sick pay</t>
  </si>
  <si>
    <t>Pensions (not state or where paid because of work related illness or disability</t>
  </si>
  <si>
    <t>Incapacity benefit, contributory employment and support allowance, jsa, income support</t>
  </si>
  <si>
    <t>remainder is</t>
  </si>
  <si>
    <t xml:space="preserve">charged at </t>
  </si>
  <si>
    <t>If income between 100 and £200 then first £100 pays £7</t>
  </si>
  <si>
    <t>brt</t>
  </si>
  <si>
    <t>hrt</t>
  </si>
  <si>
    <t>apply above % to these figures to give liability</t>
  </si>
  <si>
    <t>sum c/f</t>
  </si>
  <si>
    <t>otherwise:</t>
  </si>
  <si>
    <t xml:space="preserve">If income under £200 then fixed/ reduced rate applies (see hidden cells for workings), </t>
  </si>
  <si>
    <t>Under CS2 - basic rate only applied - it would have been:</t>
  </si>
  <si>
    <r>
      <t xml:space="preserve">5  </t>
    </r>
    <r>
      <rPr>
        <b/>
        <u/>
        <sz val="12"/>
        <rFont val="Arial"/>
        <family val="2"/>
      </rPr>
      <t>S</t>
    </r>
    <r>
      <rPr>
        <sz val="10"/>
        <rFont val="Arial"/>
        <family val="2"/>
      </rPr>
      <t>...   allowance for overnight</t>
    </r>
    <r>
      <rPr>
        <b/>
        <i/>
        <u/>
        <sz val="10"/>
        <rFont val="Arial"/>
        <family val="2"/>
      </rPr>
      <t xml:space="preserve"> Stays</t>
    </r>
    <r>
      <rPr>
        <sz val="8"/>
        <rFont val="Arial"/>
        <family val="2"/>
      </rPr>
      <t>(or see rows below)</t>
    </r>
  </si>
  <si>
    <t>if one overnight</t>
  </si>
  <si>
    <t>if two overnights</t>
  </si>
  <si>
    <t xml:space="preserve">if 3 overnights </t>
  </si>
  <si>
    <t>total deductions</t>
  </si>
  <si>
    <t>Huge thanks to those who told me where improvements needed.</t>
  </si>
  <si>
    <t>Level of av weekly overnight stays:</t>
  </si>
  <si>
    <t>if   174&lt;x&gt; nights p/a then</t>
  </si>
  <si>
    <t>Uncapped</t>
  </si>
  <si>
    <t>THE ONE PAGE SUMMARY OF SUMMARIES</t>
  </si>
  <si>
    <t>CS1</t>
  </si>
  <si>
    <t>1993-2003</t>
  </si>
  <si>
    <t>NRP = non resident parent = paying parent</t>
  </si>
  <si>
    <t>CS2</t>
  </si>
  <si>
    <t>2003- 2012 +</t>
  </si>
  <si>
    <t>PWC = Parent with care = receiving parent</t>
  </si>
  <si>
    <t>CS3</t>
  </si>
  <si>
    <t>2012 -&gt;</t>
  </si>
  <si>
    <t>The stages of the CS3 formula</t>
  </si>
  <si>
    <t>J  urisdiction:</t>
  </si>
  <si>
    <t>G  eography</t>
  </si>
  <si>
    <t xml:space="preserve">A  ge </t>
  </si>
  <si>
    <t>P  arentage</t>
  </si>
  <si>
    <t>S  eparation</t>
  </si>
  <si>
    <t>O  rder:</t>
  </si>
  <si>
    <t>pre 3/3/2003; or</t>
  </si>
  <si>
    <t>P  aying parent</t>
  </si>
  <si>
    <t>who provides less of the care?</t>
  </si>
  <si>
    <t>NB Reg 50</t>
  </si>
  <si>
    <t xml:space="preserve"> Less than 12 months</t>
  </si>
  <si>
    <t>I  ncome</t>
  </si>
  <si>
    <t>usually on basis of last tax return</t>
  </si>
  <si>
    <t>"escape" to current income where +/-25%</t>
  </si>
  <si>
    <r>
      <t xml:space="preserve">P  ension </t>
    </r>
    <r>
      <rPr>
        <sz val="9"/>
        <color theme="1"/>
        <rFont val="Calibri"/>
        <family val="2"/>
        <scheme val="minor"/>
      </rPr>
      <t>contributions deducted</t>
    </r>
  </si>
  <si>
    <r>
      <t xml:space="preserve">O  ther children </t>
    </r>
    <r>
      <rPr>
        <sz val="9"/>
        <color theme="1"/>
        <rFont val="Calibri"/>
        <family val="2"/>
        <scheme val="minor"/>
      </rPr>
      <t>(discount for)</t>
    </r>
  </si>
  <si>
    <t xml:space="preserve">D  ue children </t>
  </si>
  <si>
    <r>
      <t xml:space="preserve">S  tays </t>
    </r>
    <r>
      <rPr>
        <sz val="9"/>
        <color theme="1"/>
        <rFont val="Calibri"/>
        <family val="2"/>
        <scheme val="minor"/>
      </rPr>
      <t>(discount for)</t>
    </r>
  </si>
  <si>
    <t>V  ariations:</t>
  </si>
  <si>
    <t>Up:</t>
  </si>
  <si>
    <t>I  nvestment income</t>
  </si>
  <si>
    <t>D  iversion</t>
  </si>
  <si>
    <t>No longer: lifestyle inconsistent or underused assets</t>
  </si>
  <si>
    <t>Only imposed if applied for and where just &amp; equitable</t>
  </si>
  <si>
    <t>Down:</t>
  </si>
  <si>
    <t>S  chool fees</t>
  </si>
  <si>
    <t>C  ontact costs</t>
  </si>
  <si>
    <t>I llness  of NRP child</t>
  </si>
  <si>
    <t>D   ebt</t>
  </si>
  <si>
    <t>M  ortgage</t>
  </si>
  <si>
    <t>Where CS has jurisdiction then PPs orders only:</t>
  </si>
  <si>
    <t>Collection service</t>
  </si>
  <si>
    <t>by agreement</t>
  </si>
  <si>
    <t>s8(5)</t>
  </si>
  <si>
    <t>deducts 4% from PWC</t>
  </si>
  <si>
    <t>to top up a maximum assessment</t>
  </si>
  <si>
    <t>s8(6)</t>
  </si>
  <si>
    <t>charges 20% to NRP</t>
  </si>
  <si>
    <t>for educational costs</t>
  </si>
  <si>
    <t>s8(7)</t>
  </si>
  <si>
    <t>collection service imposed where NRP deemed "unlikely to pay"</t>
  </si>
  <si>
    <t>for costs of disability</t>
  </si>
  <si>
    <t>s8(8)</t>
  </si>
  <si>
    <t xml:space="preserve">reverse orders </t>
  </si>
  <si>
    <t>s8(10)</t>
  </si>
  <si>
    <t>"pay in full, on time, all the time" (and ask for a refund)</t>
  </si>
  <si>
    <t>Protection/ promotion for CMS:</t>
  </si>
  <si>
    <t>Sanity for clients</t>
  </si>
  <si>
    <t>Freedom to go to CMS after 1 yr.  The crt order is discharged.</t>
  </si>
  <si>
    <t>s4(10)(aa)</t>
  </si>
  <si>
    <t>Your only chance to protect against this may be at the first financial order. Consider:</t>
  </si>
  <si>
    <t>Agreements to exclude it are void</t>
  </si>
  <si>
    <t>s9(4)</t>
  </si>
  <si>
    <t>1) the global or "Segal" order</t>
  </si>
  <si>
    <t>The court may not make up for the inadequacy of the CSA/ CMS</t>
  </si>
  <si>
    <t>phillips v peace</t>
  </si>
  <si>
    <t>2) the Christmas order</t>
  </si>
  <si>
    <t>The court should apply its formula in court jurisdiction cases</t>
  </si>
  <si>
    <t>GW v RW</t>
  </si>
  <si>
    <t>3) use an undertaking to pay or contractual agreement (which are not discharged by s4(10)(aa)</t>
  </si>
  <si>
    <t>Adopt the percentages in top up cases too</t>
  </si>
  <si>
    <t>re TW&amp;TM</t>
  </si>
  <si>
    <t>Protect yourself … warn clients:</t>
  </si>
  <si>
    <t>Help</t>
  </si>
  <si>
    <r>
      <t xml:space="preserve">the end point: 31/8 after A-levels THEN back </t>
    </r>
    <r>
      <rPr>
        <u/>
        <sz val="10"/>
        <color theme="1"/>
        <rFont val="Calibri"/>
        <family val="2"/>
        <scheme val="minor"/>
      </rPr>
      <t>to court</t>
    </r>
  </si>
  <si>
    <t>The CS (Maintnce Calculation regs 2012 have a lot of the answers</t>
  </si>
  <si>
    <t>efficacy of enforcement system</t>
  </si>
  <si>
    <t>eg www.nacsa.org.uk</t>
  </si>
  <si>
    <t>esp PWCs</t>
  </si>
  <si>
    <t>Resolution website</t>
  </si>
  <si>
    <t>potential transience of court order</t>
  </si>
  <si>
    <t>Various counsel</t>
  </si>
  <si>
    <t>NRP options to manipulate</t>
  </si>
  <si>
    <t>Resolution committee</t>
  </si>
  <si>
    <t>options for protection of crt order</t>
  </si>
  <si>
    <t>me !   jp@flip.co.uk</t>
  </si>
  <si>
    <t>esp NRPs</t>
  </si>
  <si>
    <t>the fees system</t>
  </si>
  <si>
    <t>[ crude rule of thumb 1=15%; 2=20%; 3=25% ]</t>
  </si>
  <si>
    <t>[ 1nightpw= -1/7; 2nights=2/7; 3nights=3/7; 175=50% -£7</t>
  </si>
  <si>
    <t>Gingerbread</t>
  </si>
  <si>
    <t>note that generally earnings, thus dividends excluded         (see variations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</si>
</sst>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3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u/>
      <sz val="8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i/>
      <sz val="7"/>
      <name val="Arial"/>
      <family val="2"/>
    </font>
    <font>
      <b/>
      <u/>
      <sz val="12"/>
      <name val="Arial"/>
      <family val="2"/>
    </font>
    <font>
      <sz val="5"/>
      <name val="Arial"/>
      <family val="2"/>
    </font>
    <font>
      <sz val="6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i/>
      <u/>
      <sz val="9"/>
      <name val="Arial"/>
      <family val="2"/>
    </font>
    <font>
      <i/>
      <u/>
      <sz val="9"/>
      <name val="Arial"/>
      <family val="2"/>
    </font>
    <font>
      <sz val="9"/>
      <color indexed="81"/>
      <name val="Tahoma"/>
      <family val="2"/>
    </font>
    <font>
      <i/>
      <u/>
      <sz val="6"/>
      <name val="Arial"/>
      <family val="2"/>
    </font>
    <font>
      <u/>
      <sz val="9"/>
      <name val="Arial"/>
      <family val="2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0" fillId="2" borderId="0" xfId="0" applyFill="1"/>
    <xf numFmtId="0" fontId="0" fillId="0" borderId="0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164" fontId="0" fillId="2" borderId="0" xfId="1" applyNumberFormat="1" applyFont="1" applyFill="1" applyBorder="1"/>
    <xf numFmtId="1" fontId="5" fillId="0" borderId="0" xfId="0" applyNumberFormat="1" applyFont="1" applyBorder="1"/>
    <xf numFmtId="164" fontId="5" fillId="0" borderId="0" xfId="1" applyNumberFormat="1" applyFont="1" applyBorder="1"/>
    <xf numFmtId="0" fontId="8" fillId="0" borderId="0" xfId="0" applyFont="1"/>
    <xf numFmtId="164" fontId="5" fillId="0" borderId="0" xfId="1" applyNumberFormat="1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2" borderId="4" xfId="0" applyFill="1" applyBorder="1"/>
    <xf numFmtId="0" fontId="8" fillId="0" borderId="0" xfId="0" applyFont="1" applyBorder="1"/>
    <xf numFmtId="164" fontId="1" fillId="3" borderId="9" xfId="1" applyNumberFormat="1" applyFont="1" applyFill="1" applyBorder="1"/>
    <xf numFmtId="164" fontId="1" fillId="3" borderId="10" xfId="1" applyNumberFormat="1" applyFont="1" applyFill="1" applyBorder="1"/>
    <xf numFmtId="164" fontId="1" fillId="3" borderId="11" xfId="1" applyNumberFormat="1" applyFont="1" applyFill="1" applyBorder="1"/>
    <xf numFmtId="0" fontId="8" fillId="0" borderId="0" xfId="0" applyFont="1" applyAlignment="1">
      <alignment horizontal="right"/>
    </xf>
    <xf numFmtId="164" fontId="0" fillId="0" borderId="0" xfId="0" applyNumberFormat="1"/>
    <xf numFmtId="0" fontId="1" fillId="0" borderId="0" xfId="0" applyFont="1" applyAlignment="1">
      <alignment wrapText="1"/>
    </xf>
    <xf numFmtId="164" fontId="0" fillId="0" borderId="0" xfId="1" applyNumberFormat="1" applyFont="1" applyFill="1" applyBorder="1"/>
    <xf numFmtId="0" fontId="1" fillId="0" borderId="0" xfId="0" applyFont="1" applyAlignment="1">
      <alignment horizontal="left"/>
    </xf>
    <xf numFmtId="1" fontId="0" fillId="0" borderId="0" xfId="0" applyNumberFormat="1"/>
    <xf numFmtId="3" fontId="1" fillId="2" borderId="6" xfId="0" applyNumberFormat="1" applyFont="1" applyFill="1" applyBorder="1"/>
    <xf numFmtId="3" fontId="1" fillId="0" borderId="0" xfId="0" applyNumberFormat="1" applyFont="1" applyFill="1" applyBorder="1"/>
    <xf numFmtId="0" fontId="8" fillId="0" borderId="0" xfId="0" applyFont="1" applyFill="1" applyBorder="1"/>
    <xf numFmtId="0" fontId="11" fillId="0" borderId="0" xfId="0" applyFont="1" applyAlignment="1">
      <alignment horizontal="center"/>
    </xf>
    <xf numFmtId="1" fontId="5" fillId="0" borderId="0" xfId="0" applyNumberFormat="1" applyFont="1"/>
    <xf numFmtId="1" fontId="5" fillId="0" borderId="4" xfId="0" applyNumberFormat="1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5" fillId="0" borderId="7" xfId="1" applyNumberFormat="1" applyFont="1" applyBorder="1"/>
    <xf numFmtId="164" fontId="5" fillId="0" borderId="8" xfId="1" applyNumberFormat="1" applyFont="1" applyBorder="1"/>
    <xf numFmtId="0" fontId="5" fillId="0" borderId="12" xfId="0" applyFont="1" applyBorder="1"/>
    <xf numFmtId="0" fontId="15" fillId="0" borderId="0" xfId="0" applyFont="1"/>
    <xf numFmtId="164" fontId="5" fillId="0" borderId="0" xfId="0" applyNumberFormat="1" applyFont="1" applyBorder="1"/>
    <xf numFmtId="2" fontId="16" fillId="0" borderId="0" xfId="0" applyNumberFormat="1" applyFont="1" applyBorder="1"/>
    <xf numFmtId="2" fontId="16" fillId="0" borderId="12" xfId="0" applyNumberFormat="1" applyFont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64" fontId="5" fillId="0" borderId="0" xfId="0" applyNumberFormat="1" applyFont="1" applyFill="1" applyBorder="1"/>
    <xf numFmtId="0" fontId="6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Fill="1"/>
    <xf numFmtId="1" fontId="16" fillId="0" borderId="0" xfId="0" applyNumberFormat="1" applyFont="1" applyFill="1"/>
    <xf numFmtId="1" fontId="22" fillId="0" borderId="0" xfId="0" applyNumberFormat="1" applyFont="1" applyAlignment="1">
      <alignment horizontal="right"/>
    </xf>
    <xf numFmtId="2" fontId="8" fillId="0" borderId="0" xfId="0" applyNumberFormat="1" applyFont="1"/>
    <xf numFmtId="0" fontId="8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6" fillId="0" borderId="0" xfId="0" applyFont="1"/>
    <xf numFmtId="1" fontId="8" fillId="0" borderId="12" xfId="0" applyNumberFormat="1" applyFont="1" applyBorder="1"/>
    <xf numFmtId="0" fontId="12" fillId="0" borderId="0" xfId="0" applyFont="1" applyBorder="1" applyAlignment="1">
      <alignment horizontal="center"/>
    </xf>
    <xf numFmtId="2" fontId="5" fillId="0" borderId="0" xfId="0" applyNumberFormat="1" applyFont="1"/>
    <xf numFmtId="164" fontId="5" fillId="0" borderId="0" xfId="1" applyNumberFormat="1" applyFont="1" applyFill="1"/>
    <xf numFmtId="0" fontId="11" fillId="0" borderId="0" xfId="0" applyFont="1" applyAlignment="1">
      <alignment horizontal="left"/>
    </xf>
    <xf numFmtId="165" fontId="0" fillId="0" borderId="12" xfId="1" applyNumberFormat="1" applyFont="1" applyFill="1" applyBorder="1"/>
    <xf numFmtId="164" fontId="0" fillId="0" borderId="12" xfId="1" applyNumberFormat="1" applyFont="1" applyFill="1" applyBorder="1"/>
    <xf numFmtId="164" fontId="8" fillId="0" borderId="0" xfId="0" applyNumberFormat="1" applyFont="1" applyFill="1" applyBorder="1"/>
    <xf numFmtId="0" fontId="8" fillId="0" borderId="1" xfId="0" applyFont="1" applyBorder="1" applyAlignment="1">
      <alignment horizontal="right"/>
    </xf>
    <xf numFmtId="0" fontId="15" fillId="0" borderId="2" xfId="0" applyFont="1" applyBorder="1"/>
    <xf numFmtId="164" fontId="8" fillId="0" borderId="2" xfId="1" applyNumberFormat="1" applyFont="1" applyBorder="1"/>
    <xf numFmtId="164" fontId="8" fillId="0" borderId="3" xfId="1" applyNumberFormat="1" applyFont="1" applyBorder="1"/>
    <xf numFmtId="0" fontId="8" fillId="0" borderId="4" xfId="0" applyFont="1" applyBorder="1" applyAlignment="1">
      <alignment horizontal="right"/>
    </xf>
    <xf numFmtId="0" fontId="15" fillId="0" borderId="0" xfId="0" applyFont="1" applyBorder="1"/>
    <xf numFmtId="164" fontId="8" fillId="0" borderId="0" xfId="1" applyNumberFormat="1" applyFont="1" applyBorder="1"/>
    <xf numFmtId="164" fontId="8" fillId="0" borderId="5" xfId="1" applyNumberFormat="1" applyFont="1" applyBorder="1"/>
    <xf numFmtId="0" fontId="8" fillId="0" borderId="6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/>
    <xf numFmtId="164" fontId="8" fillId="0" borderId="0" xfId="1" applyNumberFormat="1" applyFont="1" applyFill="1" applyBorder="1"/>
    <xf numFmtId="0" fontId="5" fillId="0" borderId="0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0" fillId="0" borderId="4" xfId="0" applyBorder="1"/>
    <xf numFmtId="164" fontId="0" fillId="0" borderId="5" xfId="0" applyNumberFormat="1" applyBorder="1"/>
    <xf numFmtId="1" fontId="5" fillId="0" borderId="5" xfId="0" applyNumberFormat="1" applyFont="1" applyBorder="1"/>
    <xf numFmtId="164" fontId="10" fillId="3" borderId="9" xfId="1" applyNumberFormat="1" applyFont="1" applyFill="1" applyBorder="1"/>
    <xf numFmtId="164" fontId="10" fillId="3" borderId="10" xfId="1" applyNumberFormat="1" applyFont="1" applyFill="1" applyBorder="1"/>
    <xf numFmtId="164" fontId="10" fillId="3" borderId="11" xfId="1" applyNumberFormat="1" applyFont="1" applyFill="1" applyBorder="1"/>
    <xf numFmtId="164" fontId="8" fillId="0" borderId="8" xfId="1" applyNumberFormat="1" applyFont="1" applyFill="1" applyBorder="1"/>
    <xf numFmtId="164" fontId="8" fillId="0" borderId="7" xfId="1" applyNumberFormat="1" applyFont="1" applyFill="1" applyBorder="1"/>
    <xf numFmtId="164" fontId="5" fillId="0" borderId="4" xfId="1" applyNumberFormat="1" applyFont="1" applyBorder="1"/>
    <xf numFmtId="0" fontId="5" fillId="0" borderId="4" xfId="0" applyFont="1" applyBorder="1"/>
    <xf numFmtId="164" fontId="8" fillId="0" borderId="6" xfId="1" applyNumberFormat="1" applyFont="1" applyFill="1" applyBorder="1"/>
    <xf numFmtId="0" fontId="0" fillId="5" borderId="12" xfId="0" applyFill="1" applyBorder="1" applyAlignment="1">
      <alignment horizontal="center"/>
    </xf>
    <xf numFmtId="0" fontId="0" fillId="5" borderId="3" xfId="0" applyFill="1" applyBorder="1"/>
    <xf numFmtId="0" fontId="0" fillId="5" borderId="5" xfId="0" applyFill="1" applyBorder="1"/>
    <xf numFmtId="0" fontId="25" fillId="5" borderId="12" xfId="0" applyFont="1" applyFill="1" applyBorder="1"/>
    <xf numFmtId="0" fontId="0" fillId="5" borderId="8" xfId="0" applyFill="1" applyBorder="1"/>
    <xf numFmtId="0" fontId="24" fillId="6" borderId="13" xfId="0" applyFont="1" applyFill="1" applyBorder="1"/>
    <xf numFmtId="0" fontId="0" fillId="7" borderId="12" xfId="0" applyFill="1" applyBorder="1"/>
    <xf numFmtId="0" fontId="0" fillId="7" borderId="10" xfId="0" applyFill="1" applyBorder="1" applyAlignment="1">
      <alignment horizontal="center"/>
    </xf>
    <xf numFmtId="0" fontId="0" fillId="7" borderId="13" xfId="0" applyFill="1" applyBorder="1" applyAlignment="1">
      <alignment horizontal="right"/>
    </xf>
    <xf numFmtId="0" fontId="26" fillId="7" borderId="2" xfId="0" applyFont="1" applyFill="1" applyBorder="1"/>
    <xf numFmtId="0" fontId="0" fillId="7" borderId="3" xfId="0" applyFill="1" applyBorder="1"/>
    <xf numFmtId="0" fontId="0" fillId="6" borderId="14" xfId="0" applyFill="1" applyBorder="1" applyAlignment="1">
      <alignment vertical="top"/>
    </xf>
    <xf numFmtId="0" fontId="26" fillId="0" borderId="0" xfId="0" applyFont="1" applyAlignment="1">
      <alignment wrapText="1"/>
    </xf>
    <xf numFmtId="0" fontId="27" fillId="0" borderId="0" xfId="0" applyFont="1"/>
    <xf numFmtId="0" fontId="26" fillId="7" borderId="7" xfId="0" applyFont="1" applyFill="1" applyBorder="1" applyAlignment="1">
      <alignment vertical="top"/>
    </xf>
    <xf numFmtId="0" fontId="0" fillId="7" borderId="8" xfId="0" applyFill="1" applyBorder="1"/>
    <xf numFmtId="0" fontId="0" fillId="7" borderId="12" xfId="0" applyFill="1" applyBorder="1" applyAlignment="1">
      <alignment vertical="top"/>
    </xf>
    <xf numFmtId="0" fontId="0" fillId="6" borderId="14" xfId="0" applyFill="1" applyBorder="1"/>
    <xf numFmtId="0" fontId="0" fillId="7" borderId="15" xfId="0" applyFill="1" applyBorder="1" applyAlignment="1">
      <alignment horizontal="left" vertical="center"/>
    </xf>
    <xf numFmtId="0" fontId="0" fillId="7" borderId="13" xfId="0" applyFill="1" applyBorder="1" applyAlignment="1">
      <alignment horizontal="right" vertical="top"/>
    </xf>
    <xf numFmtId="0" fontId="28" fillId="7" borderId="13" xfId="0" applyFont="1" applyFill="1" applyBorder="1" applyAlignment="1">
      <alignment horizontal="left" vertical="top" wrapText="1"/>
    </xf>
    <xf numFmtId="0" fontId="27" fillId="7" borderId="13" xfId="0" applyFont="1" applyFill="1" applyBorder="1" applyAlignment="1">
      <alignment vertical="top"/>
    </xf>
    <xf numFmtId="0" fontId="0" fillId="0" borderId="2" xfId="0" applyFill="1" applyBorder="1"/>
    <xf numFmtId="0" fontId="26" fillId="7" borderId="0" xfId="0" applyFont="1" applyFill="1" applyAlignment="1">
      <alignment horizontal="right" wrapText="1"/>
    </xf>
    <xf numFmtId="0" fontId="0" fillId="7" borderId="12" xfId="0" applyFill="1" applyBorder="1" applyAlignment="1">
      <alignment horizontal="right"/>
    </xf>
    <xf numFmtId="0" fontId="25" fillId="7" borderId="12" xfId="0" applyFont="1" applyFill="1" applyBorder="1" applyAlignment="1">
      <alignment vertical="top" wrapText="1"/>
    </xf>
    <xf numFmtId="0" fontId="0" fillId="7" borderId="15" xfId="0" applyFill="1" applyBorder="1" applyAlignment="1">
      <alignment vertical="top"/>
    </xf>
    <xf numFmtId="0" fontId="29" fillId="8" borderId="1" xfId="0" applyFont="1" applyFill="1" applyBorder="1"/>
    <xf numFmtId="0" fontId="0" fillId="8" borderId="3" xfId="0" applyFill="1" applyBorder="1"/>
    <xf numFmtId="0" fontId="24" fillId="9" borderId="1" xfId="0" applyFont="1" applyFill="1" applyBorder="1"/>
    <xf numFmtId="0" fontId="0" fillId="9" borderId="2" xfId="0" applyFill="1" applyBorder="1"/>
    <xf numFmtId="0" fontId="0" fillId="9" borderId="3" xfId="0" applyFill="1" applyBorder="1"/>
    <xf numFmtId="0" fontId="25" fillId="8" borderId="4" xfId="0" applyFont="1" applyFill="1" applyBorder="1" applyAlignment="1">
      <alignment horizontal="right" wrapText="1"/>
    </xf>
    <xf numFmtId="0" fontId="0" fillId="8" borderId="5" xfId="0" applyFill="1" applyBorder="1" applyAlignment="1">
      <alignment horizontal="right"/>
    </xf>
    <xf numFmtId="0" fontId="27" fillId="9" borderId="4" xfId="0" applyFont="1" applyFill="1" applyBorder="1"/>
    <xf numFmtId="0" fontId="0" fillId="9" borderId="0" xfId="0" applyFill="1" applyBorder="1"/>
    <xf numFmtId="0" fontId="0" fillId="9" borderId="5" xfId="0" applyFill="1" applyBorder="1"/>
    <xf numFmtId="0" fontId="25" fillId="9" borderId="4" xfId="0" applyFont="1" applyFill="1" applyBorder="1"/>
    <xf numFmtId="0" fontId="25" fillId="8" borderId="6" xfId="0" applyFont="1" applyFill="1" applyBorder="1" applyAlignment="1">
      <alignment horizontal="right" wrapText="1"/>
    </xf>
    <xf numFmtId="0" fontId="0" fillId="8" borderId="8" xfId="0" applyFill="1" applyBorder="1" applyAlignment="1">
      <alignment horizontal="right"/>
    </xf>
    <xf numFmtId="0" fontId="30" fillId="9" borderId="6" xfId="0" applyFont="1" applyFill="1" applyBorder="1"/>
    <xf numFmtId="0" fontId="0" fillId="9" borderId="7" xfId="0" applyFill="1" applyBorder="1"/>
    <xf numFmtId="0" fontId="0" fillId="9" borderId="8" xfId="0" applyFill="1" applyBorder="1"/>
    <xf numFmtId="0" fontId="24" fillId="4" borderId="1" xfId="0" applyFont="1" applyFill="1" applyBorder="1"/>
    <xf numFmtId="0" fontId="0" fillId="4" borderId="3" xfId="0" applyFill="1" applyBorder="1"/>
    <xf numFmtId="0" fontId="24" fillId="10" borderId="1" xfId="0" applyFont="1" applyFill="1" applyBorder="1"/>
    <xf numFmtId="0" fontId="0" fillId="10" borderId="2" xfId="0" applyFill="1" applyBorder="1"/>
    <xf numFmtId="0" fontId="0" fillId="10" borderId="3" xfId="0" applyFill="1" applyBorder="1"/>
    <xf numFmtId="0" fontId="25" fillId="4" borderId="12" xfId="0" applyFont="1" applyFill="1" applyBorder="1" applyAlignment="1">
      <alignment horizontal="right" vertical="top" wrapText="1"/>
    </xf>
    <xf numFmtId="0" fontId="0" fillId="4" borderId="12" xfId="0" applyFill="1" applyBorder="1" applyAlignment="1">
      <alignment horizontal="right" vertical="top"/>
    </xf>
    <xf numFmtId="0" fontId="25" fillId="4" borderId="12" xfId="0" applyFont="1" applyFill="1" applyBorder="1" applyAlignment="1">
      <alignment horizontal="right" vertical="center" wrapText="1"/>
    </xf>
    <xf numFmtId="0" fontId="0" fillId="4" borderId="12" xfId="0" applyFill="1" applyBorder="1" applyAlignment="1">
      <alignment horizontal="right"/>
    </xf>
    <xf numFmtId="0" fontId="25" fillId="4" borderId="12" xfId="0" applyFont="1" applyFill="1" applyBorder="1" applyAlignment="1">
      <alignment horizontal="right" wrapText="1"/>
    </xf>
    <xf numFmtId="0" fontId="2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24" fillId="11" borderId="13" xfId="0" applyFont="1" applyFill="1" applyBorder="1"/>
    <xf numFmtId="0" fontId="24" fillId="12" borderId="1" xfId="0" applyFont="1" applyFill="1" applyBorder="1"/>
    <xf numFmtId="0" fontId="0" fillId="12" borderId="2" xfId="0" applyFill="1" applyBorder="1"/>
    <xf numFmtId="0" fontId="0" fillId="12" borderId="3" xfId="0" applyFill="1" applyBorder="1"/>
    <xf numFmtId="0" fontId="27" fillId="11" borderId="12" xfId="0" applyFont="1" applyFill="1" applyBorder="1" applyAlignment="1">
      <alignment horizontal="right" wrapText="1"/>
    </xf>
    <xf numFmtId="0" fontId="27" fillId="11" borderId="12" xfId="0" applyFont="1" applyFill="1" applyBorder="1" applyAlignment="1">
      <alignment horizontal="right"/>
    </xf>
    <xf numFmtId="0" fontId="0" fillId="0" borderId="5" xfId="0" applyFill="1" applyBorder="1"/>
    <xf numFmtId="0" fontId="31" fillId="11" borderId="12" xfId="0" applyFont="1" applyFill="1" applyBorder="1" applyAlignment="1">
      <alignment horizontal="center"/>
    </xf>
    <xf numFmtId="0" fontId="25" fillId="11" borderId="12" xfId="0" applyFont="1" applyFill="1" applyBorder="1" applyAlignment="1">
      <alignment horizontal="right" wrapText="1"/>
    </xf>
    <xf numFmtId="0" fontId="0" fillId="0" borderId="8" xfId="0" applyFill="1" applyBorder="1"/>
    <xf numFmtId="0" fontId="25" fillId="7" borderId="12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7" fillId="10" borderId="9" xfId="0" applyFont="1" applyFill="1" applyBorder="1" applyAlignment="1">
      <alignment horizontal="left" vertical="top" wrapText="1"/>
    </xf>
    <xf numFmtId="0" fontId="27" fillId="10" borderId="10" xfId="0" applyFont="1" applyFill="1" applyBorder="1" applyAlignment="1">
      <alignment horizontal="left" vertical="top" wrapText="1"/>
    </xf>
    <xf numFmtId="0" fontId="27" fillId="10" borderId="11" xfId="0" applyFont="1" applyFill="1" applyBorder="1" applyAlignment="1">
      <alignment horizontal="left" vertical="top" wrapText="1"/>
    </xf>
    <xf numFmtId="0" fontId="27" fillId="12" borderId="12" xfId="0" applyFont="1" applyFill="1" applyBorder="1" applyAlignment="1">
      <alignment horizontal="left"/>
    </xf>
    <xf numFmtId="0" fontId="25" fillId="7" borderId="9" xfId="0" applyFont="1" applyFill="1" applyBorder="1" applyAlignment="1">
      <alignment horizontal="left" wrapText="1"/>
    </xf>
    <xf numFmtId="0" fontId="25" fillId="7" borderId="11" xfId="0" applyFont="1" applyFill="1" applyBorder="1" applyAlignment="1">
      <alignment horizontal="left" wrapText="1"/>
    </xf>
    <xf numFmtId="0" fontId="31" fillId="0" borderId="0" xfId="0" applyFont="1" applyAlignment="1">
      <alignment horizontal="center"/>
    </xf>
    <xf numFmtId="0" fontId="25" fillId="5" borderId="12" xfId="0" applyFont="1" applyFill="1" applyBorder="1" applyAlignment="1">
      <alignment horizontal="left"/>
    </xf>
    <xf numFmtId="0" fontId="26" fillId="7" borderId="12" xfId="0" applyFont="1" applyFill="1" applyBorder="1" applyAlignment="1">
      <alignment horizontal="center" wrapText="1"/>
    </xf>
    <xf numFmtId="0" fontId="25" fillId="10" borderId="12" xfId="0" applyFont="1" applyFill="1" applyBorder="1" applyAlignment="1">
      <alignment horizontal="left" vertical="center" wrapText="1"/>
    </xf>
    <xf numFmtId="0" fontId="27" fillId="10" borderId="9" xfId="0" applyFont="1" applyFill="1" applyBorder="1" applyAlignment="1">
      <alignment horizontal="left" vertical="top"/>
    </xf>
    <xf numFmtId="0" fontId="27" fillId="10" borderId="10" xfId="0" applyFont="1" applyFill="1" applyBorder="1" applyAlignment="1">
      <alignment horizontal="left" vertical="top"/>
    </xf>
    <xf numFmtId="0" fontId="27" fillId="10" borderId="11" xfId="0" applyFont="1" applyFill="1" applyBorder="1" applyAlignment="1">
      <alignment horizontal="left" vertical="top"/>
    </xf>
    <xf numFmtId="0" fontId="27" fillId="10" borderId="12" xfId="0" applyFont="1" applyFill="1" applyBorder="1" applyAlignment="1">
      <alignment horizontal="left" vertical="top" wrapText="1"/>
    </xf>
    <xf numFmtId="0" fontId="25" fillId="12" borderId="12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tabSelected="1" view="pageBreakPreview" zoomScale="90" zoomScaleNormal="90" zoomScaleSheetLayoutView="90" workbookViewId="0">
      <selection activeCell="A72" sqref="A72"/>
    </sheetView>
  </sheetViews>
  <sheetFormatPr defaultRowHeight="12.75" x14ac:dyDescent="0.2"/>
  <cols>
    <col min="1" max="1" width="40.42578125" customWidth="1"/>
    <col min="2" max="2" width="1.85546875" customWidth="1"/>
    <col min="3" max="3" width="9.28515625" customWidth="1"/>
    <col min="4" max="4" width="8.140625" customWidth="1"/>
    <col min="5" max="5" width="7.42578125" customWidth="1"/>
    <col min="6" max="6" width="7.140625" customWidth="1"/>
    <col min="7" max="7" width="1.42578125" customWidth="1"/>
    <col min="8" max="8" width="7.28515625" customWidth="1"/>
    <col min="9" max="9" width="6.42578125" customWidth="1"/>
  </cols>
  <sheetData>
    <row r="1" spans="1:10" ht="15" x14ac:dyDescent="0.2">
      <c r="A1" s="1"/>
      <c r="C1" s="166" t="s">
        <v>8</v>
      </c>
      <c r="D1" s="166"/>
      <c r="E1" s="166"/>
      <c r="H1" s="167" t="s">
        <v>58</v>
      </c>
      <c r="I1" s="168"/>
      <c r="J1" s="169"/>
    </row>
    <row r="2" spans="1:10" ht="14.25" x14ac:dyDescent="0.2">
      <c r="A2" s="3" t="s">
        <v>3</v>
      </c>
      <c r="B2" s="4"/>
      <c r="F2" s="35" t="s">
        <v>12</v>
      </c>
      <c r="H2" s="89"/>
      <c r="I2" s="5"/>
      <c r="J2" s="6"/>
    </row>
    <row r="3" spans="1:10" x14ac:dyDescent="0.2">
      <c r="C3" s="9" t="s">
        <v>0</v>
      </c>
      <c r="D3" s="44" t="s">
        <v>1</v>
      </c>
      <c r="E3" s="45" t="s">
        <v>2</v>
      </c>
      <c r="H3" s="89"/>
      <c r="I3" s="5"/>
      <c r="J3" s="6"/>
    </row>
    <row r="4" spans="1:10" hidden="1" x14ac:dyDescent="0.2">
      <c r="A4" s="59" t="s">
        <v>36</v>
      </c>
      <c r="C4" s="56"/>
      <c r="D4" s="57"/>
      <c r="E4" s="58"/>
      <c r="H4" s="89"/>
      <c r="I4" s="5"/>
      <c r="J4" s="6"/>
    </row>
    <row r="5" spans="1:10" hidden="1" x14ac:dyDescent="0.2">
      <c r="A5" s="59" t="s">
        <v>37</v>
      </c>
      <c r="C5" s="56"/>
      <c r="D5" s="57"/>
      <c r="E5" s="58"/>
      <c r="H5" s="89"/>
      <c r="I5" s="5"/>
      <c r="J5" s="6"/>
    </row>
    <row r="6" spans="1:10" ht="22.5" hidden="1" x14ac:dyDescent="0.2">
      <c r="A6" s="59" t="s">
        <v>38</v>
      </c>
      <c r="C6" s="56"/>
      <c r="D6" s="57"/>
      <c r="E6" s="58"/>
      <c r="H6" s="89"/>
      <c r="I6" s="5"/>
      <c r="J6" s="6"/>
    </row>
    <row r="7" spans="1:10" ht="22.5" hidden="1" x14ac:dyDescent="0.2">
      <c r="A7" s="59" t="s">
        <v>39</v>
      </c>
      <c r="C7" s="56"/>
      <c r="D7" s="57"/>
      <c r="E7" s="58"/>
      <c r="H7" s="89"/>
      <c r="I7" s="5"/>
      <c r="J7" s="6"/>
    </row>
    <row r="8" spans="1:10" hidden="1" x14ac:dyDescent="0.2">
      <c r="C8" s="56"/>
      <c r="D8" s="57"/>
      <c r="E8" s="58"/>
      <c r="H8" s="89"/>
      <c r="I8" s="5"/>
      <c r="J8" s="6"/>
    </row>
    <row r="9" spans="1:10" x14ac:dyDescent="0.2">
      <c r="A9" s="2" t="s">
        <v>24</v>
      </c>
      <c r="C9" s="32">
        <v>156000</v>
      </c>
      <c r="D9" s="46">
        <f>+C9/12</f>
        <v>13000</v>
      </c>
      <c r="E9" s="47">
        <f>+C9/52</f>
        <v>3000</v>
      </c>
      <c r="F9" s="50">
        <f>+E9</f>
        <v>3000</v>
      </c>
      <c r="G9" s="22"/>
      <c r="H9" s="89"/>
      <c r="I9" s="5"/>
      <c r="J9" s="6"/>
    </row>
    <row r="10" spans="1:10" x14ac:dyDescent="0.2">
      <c r="A10" s="26" t="s">
        <v>13</v>
      </c>
      <c r="C10" s="33"/>
      <c r="D10" s="29"/>
      <c r="E10" s="29"/>
      <c r="F10" s="34"/>
      <c r="G10" s="34"/>
      <c r="H10" s="89"/>
      <c r="I10" s="5"/>
      <c r="J10" s="6"/>
    </row>
    <row r="11" spans="1:10" x14ac:dyDescent="0.2">
      <c r="A11" s="26" t="s">
        <v>15</v>
      </c>
      <c r="C11" s="33"/>
      <c r="D11" s="29"/>
      <c r="E11" s="29"/>
      <c r="F11" s="34"/>
      <c r="G11" s="34"/>
      <c r="H11" s="89"/>
      <c r="I11" s="5"/>
      <c r="J11" s="6"/>
    </row>
    <row r="12" spans="1:10" x14ac:dyDescent="0.2">
      <c r="A12" s="26"/>
      <c r="C12" s="33"/>
      <c r="D12" s="29"/>
      <c r="E12" s="29"/>
      <c r="F12" s="34"/>
      <c r="G12" s="34"/>
      <c r="H12" s="89"/>
      <c r="I12" s="5"/>
      <c r="J12" s="6"/>
    </row>
    <row r="13" spans="1:10" hidden="1" x14ac:dyDescent="0.2">
      <c r="A13" s="53" t="s">
        <v>26</v>
      </c>
      <c r="C13" s="33"/>
      <c r="D13" s="29"/>
      <c r="E13" s="29"/>
      <c r="F13" s="34"/>
      <c r="G13" s="34"/>
      <c r="H13" s="89"/>
      <c r="I13" s="5"/>
      <c r="J13" s="6"/>
    </row>
    <row r="14" spans="1:10" hidden="1" x14ac:dyDescent="0.2">
      <c r="A14" s="54" t="s">
        <v>32</v>
      </c>
      <c r="C14" s="33"/>
      <c r="D14" s="29"/>
      <c r="E14" s="13"/>
      <c r="F14" s="34"/>
      <c r="G14" s="34"/>
      <c r="H14" s="89"/>
      <c r="I14" s="5"/>
      <c r="J14" s="6"/>
    </row>
    <row r="15" spans="1:10" hidden="1" x14ac:dyDescent="0.2">
      <c r="A15" s="26" t="s">
        <v>27</v>
      </c>
      <c r="C15" s="33"/>
      <c r="D15" s="29"/>
      <c r="E15" s="13"/>
      <c r="F15" s="34"/>
      <c r="G15" s="34"/>
      <c r="H15" s="89"/>
      <c r="I15" s="5"/>
      <c r="J15" s="6"/>
    </row>
    <row r="16" spans="1:10" hidden="1" x14ac:dyDescent="0.2">
      <c r="A16" s="26" t="s">
        <v>28</v>
      </c>
      <c r="C16" s="33"/>
      <c r="D16" s="29"/>
      <c r="E16" s="13"/>
      <c r="F16" s="34"/>
      <c r="G16" s="34"/>
      <c r="H16" s="89"/>
      <c r="I16" s="5"/>
      <c r="J16" s="6"/>
    </row>
    <row r="17" spans="1:10" hidden="1" x14ac:dyDescent="0.2">
      <c r="A17" s="26" t="s">
        <v>29</v>
      </c>
      <c r="C17" s="33"/>
      <c r="D17" s="29"/>
      <c r="E17" s="13"/>
      <c r="F17" s="34"/>
      <c r="G17" s="34"/>
      <c r="H17" s="89"/>
      <c r="I17" s="5"/>
      <c r="J17" s="6"/>
    </row>
    <row r="18" spans="1:10" hidden="1" x14ac:dyDescent="0.2">
      <c r="A18" s="26" t="s">
        <v>30</v>
      </c>
      <c r="C18" s="33"/>
      <c r="D18" s="29"/>
      <c r="E18" s="13"/>
      <c r="F18" s="34"/>
      <c r="G18" s="34"/>
      <c r="H18" s="89"/>
      <c r="I18" s="5"/>
      <c r="J18" s="6"/>
    </row>
    <row r="19" spans="1:10" hidden="1" x14ac:dyDescent="0.2">
      <c r="A19" s="26" t="s">
        <v>31</v>
      </c>
      <c r="C19" s="33"/>
      <c r="D19" s="29"/>
      <c r="E19" s="13"/>
      <c r="F19" s="34"/>
      <c r="G19" s="34"/>
      <c r="H19" s="89"/>
      <c r="I19" s="5"/>
      <c r="J19" s="6"/>
    </row>
    <row r="20" spans="1:10" hidden="1" x14ac:dyDescent="0.2">
      <c r="A20" s="26" t="s">
        <v>54</v>
      </c>
      <c r="C20" s="33"/>
      <c r="D20" s="29"/>
      <c r="E20" s="72">
        <f>-SUM(E14:E19)</f>
        <v>0</v>
      </c>
      <c r="F20" s="34"/>
      <c r="G20" s="34"/>
      <c r="H20" s="89"/>
      <c r="I20" s="5"/>
      <c r="J20" s="6"/>
    </row>
    <row r="21" spans="1:10" hidden="1" x14ac:dyDescent="0.2">
      <c r="A21" s="54" t="s">
        <v>33</v>
      </c>
      <c r="C21" s="33"/>
      <c r="D21" s="29"/>
      <c r="E21" s="13"/>
      <c r="F21" s="34"/>
      <c r="G21" s="34"/>
      <c r="H21" s="89"/>
      <c r="I21" s="5"/>
      <c r="J21" s="6"/>
    </row>
    <row r="22" spans="1:10" hidden="1" x14ac:dyDescent="0.2">
      <c r="A22" s="26" t="s">
        <v>34</v>
      </c>
      <c r="C22" s="33"/>
      <c r="D22" s="29"/>
      <c r="E22" s="13"/>
      <c r="F22" s="34"/>
      <c r="G22" s="34"/>
      <c r="H22" s="89"/>
      <c r="I22" s="5"/>
      <c r="J22" s="6"/>
    </row>
    <row r="23" spans="1:10" hidden="1" x14ac:dyDescent="0.2">
      <c r="A23" s="26" t="s">
        <v>35</v>
      </c>
      <c r="C23" s="33"/>
      <c r="D23" s="29"/>
      <c r="E23" s="13"/>
      <c r="F23" s="34"/>
      <c r="G23" s="34"/>
      <c r="H23" s="89"/>
      <c r="I23" s="5"/>
      <c r="J23" s="6"/>
    </row>
    <row r="24" spans="1:10" hidden="1" x14ac:dyDescent="0.2">
      <c r="A24" s="26"/>
      <c r="C24" s="33"/>
      <c r="D24" s="29"/>
      <c r="E24" s="73">
        <f>SUM(E22:E23)</f>
        <v>0</v>
      </c>
      <c r="F24" s="74">
        <f>+E20+E24</f>
        <v>0</v>
      </c>
      <c r="G24" s="34"/>
      <c r="H24" s="89"/>
      <c r="I24" s="5"/>
      <c r="J24" s="6"/>
    </row>
    <row r="25" spans="1:10" hidden="1" x14ac:dyDescent="0.2">
      <c r="A25" s="26"/>
      <c r="C25" s="33">
        <f>SUM(C9:C23)</f>
        <v>156000</v>
      </c>
      <c r="D25" s="46">
        <f>+C25/12</f>
        <v>13000</v>
      </c>
      <c r="E25" s="47">
        <f>SUM(E9:E23)</f>
        <v>3000</v>
      </c>
      <c r="F25" s="55">
        <f>SUM(F9:F24)</f>
        <v>3000</v>
      </c>
      <c r="G25" s="34"/>
      <c r="H25" s="89"/>
      <c r="I25" s="5"/>
      <c r="J25" s="6"/>
    </row>
    <row r="26" spans="1:10" x14ac:dyDescent="0.2">
      <c r="A26" s="43"/>
      <c r="C26" s="33"/>
      <c r="D26" s="68" t="s">
        <v>1</v>
      </c>
      <c r="E26" s="29"/>
      <c r="F26" s="34"/>
      <c r="G26" s="34"/>
      <c r="H26" s="89"/>
      <c r="I26" s="5"/>
      <c r="J26" s="6"/>
    </row>
    <row r="27" spans="1:10" ht="27" x14ac:dyDescent="0.2">
      <c r="A27" s="28" t="s">
        <v>25</v>
      </c>
      <c r="B27">
        <f>+(D27/0.8)</f>
        <v>0</v>
      </c>
      <c r="D27" s="13"/>
      <c r="E27" s="14">
        <f>+B27*B28*0.230769230769231</f>
        <v>0</v>
      </c>
      <c r="F27" s="15">
        <f>+F25-E27</f>
        <v>3000</v>
      </c>
      <c r="G27" s="15"/>
      <c r="H27" s="89"/>
      <c r="I27" s="5"/>
      <c r="J27" s="6"/>
    </row>
    <row r="28" spans="1:10" x14ac:dyDescent="0.2">
      <c r="A28" s="26" t="s">
        <v>16</v>
      </c>
      <c r="B28" s="8">
        <f>IF(E9-800&lt;(B27*12/52),1,1.25)</f>
        <v>1.25</v>
      </c>
      <c r="C28" s="5"/>
      <c r="D28" s="5"/>
      <c r="G28" s="49" t="e">
        <f>IF(#REF!&gt;0,0.2,0)</f>
        <v>#REF!</v>
      </c>
      <c r="H28" s="89"/>
      <c r="I28" s="5"/>
      <c r="J28" s="6"/>
    </row>
    <row r="29" spans="1:10" x14ac:dyDescent="0.2">
      <c r="A29" s="26" t="s">
        <v>19</v>
      </c>
      <c r="B29" s="8"/>
      <c r="C29" s="5"/>
      <c r="D29" s="5"/>
      <c r="F29" s="52">
        <f>IF(F27&gt;3000,3000,F27)</f>
        <v>3000</v>
      </c>
      <c r="H29" s="89"/>
      <c r="I29" s="5"/>
      <c r="J29" s="6"/>
    </row>
    <row r="30" spans="1:10" x14ac:dyDescent="0.2">
      <c r="A30" s="26"/>
      <c r="B30" s="8"/>
      <c r="C30" s="5"/>
      <c r="D30" s="5"/>
      <c r="F30" s="51"/>
      <c r="H30" s="89"/>
      <c r="I30" s="5"/>
      <c r="J30" s="90">
        <f>+F25</f>
        <v>3000</v>
      </c>
    </row>
    <row r="31" spans="1:10" ht="15.75" x14ac:dyDescent="0.25">
      <c r="A31" s="28" t="s">
        <v>21</v>
      </c>
      <c r="B31" s="8"/>
      <c r="C31" s="4">
        <v>0</v>
      </c>
      <c r="D31" s="5"/>
      <c r="F31" s="51"/>
      <c r="H31" s="89"/>
      <c r="I31" s="5"/>
      <c r="J31" s="6"/>
    </row>
    <row r="32" spans="1:10" x14ac:dyDescent="0.2">
      <c r="A32" s="7" t="s">
        <v>14</v>
      </c>
      <c r="B32" s="8"/>
      <c r="E32">
        <f>IF(C31=1,0.11)+IF(C31=2,0.14)+IF(C31&gt;2,0.16)</f>
        <v>0</v>
      </c>
      <c r="F32" s="36">
        <f>+F29*(1-E32)</f>
        <v>3000</v>
      </c>
      <c r="H32" s="89"/>
      <c r="I32" s="5"/>
      <c r="J32" s="91">
        <f>+J30*(1-E32)</f>
        <v>3000</v>
      </c>
    </row>
    <row r="33" spans="1:10" x14ac:dyDescent="0.2">
      <c r="A33" s="26"/>
      <c r="B33" s="8"/>
      <c r="C33" s="5"/>
      <c r="D33" s="5"/>
      <c r="F33" s="51"/>
      <c r="H33" s="89"/>
      <c r="I33" s="5"/>
      <c r="J33" s="6"/>
    </row>
    <row r="34" spans="1:10" x14ac:dyDescent="0.2">
      <c r="A34" s="2" t="s">
        <v>22</v>
      </c>
      <c r="C34" s="4">
        <v>1</v>
      </c>
      <c r="D34" s="12" t="s">
        <v>10</v>
      </c>
      <c r="E34" s="12" t="s">
        <v>11</v>
      </c>
      <c r="H34" s="89"/>
      <c r="I34" s="5"/>
      <c r="J34" s="6"/>
    </row>
    <row r="35" spans="1:10" hidden="1" x14ac:dyDescent="0.2">
      <c r="A35" s="2"/>
      <c r="C35" s="60"/>
      <c r="D35" s="12"/>
      <c r="E35" s="12"/>
      <c r="H35" s="89"/>
      <c r="I35" s="5"/>
      <c r="J35" s="6"/>
    </row>
    <row r="36" spans="1:10" ht="22.5" hidden="1" x14ac:dyDescent="0.2">
      <c r="A36" s="64" t="s">
        <v>48</v>
      </c>
      <c r="C36" s="61">
        <f>IF(F32&lt;200,F32,0)</f>
        <v>0</v>
      </c>
      <c r="D36" s="62"/>
      <c r="E36" s="62"/>
      <c r="F36" s="66">
        <f>IF(C36=0,0,IF(C36&gt;=0,7))</f>
        <v>0</v>
      </c>
      <c r="H36" s="89"/>
      <c r="I36" s="5"/>
      <c r="J36" s="6"/>
    </row>
    <row r="37" spans="1:10" hidden="1" x14ac:dyDescent="0.2">
      <c r="A37" s="16" t="s">
        <v>42</v>
      </c>
      <c r="C37" s="61"/>
      <c r="D37" s="62"/>
      <c r="E37" s="62"/>
      <c r="H37" s="89"/>
      <c r="I37" s="5"/>
      <c r="J37" s="6"/>
    </row>
    <row r="38" spans="1:10" hidden="1" x14ac:dyDescent="0.2">
      <c r="A38" s="26" t="s">
        <v>40</v>
      </c>
      <c r="C38" s="63">
        <f>IF(C36&lt;100,0,(C36-100))</f>
        <v>0</v>
      </c>
      <c r="D38" s="62"/>
      <c r="E38" s="62"/>
      <c r="F38" s="16"/>
      <c r="H38" s="89"/>
      <c r="I38" s="5"/>
      <c r="J38" s="6"/>
    </row>
    <row r="39" spans="1:10" hidden="1" x14ac:dyDescent="0.2">
      <c r="A39" s="26" t="s">
        <v>41</v>
      </c>
      <c r="C39" s="60">
        <f>IF(C34=1,0.17,0)</f>
        <v>0.17</v>
      </c>
      <c r="D39" s="12"/>
      <c r="E39" s="12"/>
      <c r="F39" s="69">
        <f>+C38*C39</f>
        <v>0</v>
      </c>
      <c r="H39" s="89"/>
      <c r="I39" s="5"/>
      <c r="J39" s="6"/>
    </row>
    <row r="40" spans="1:10" hidden="1" x14ac:dyDescent="0.2">
      <c r="A40" s="2"/>
      <c r="C40" s="60">
        <f>IF(C34=2,0.25,0)</f>
        <v>0</v>
      </c>
      <c r="D40" s="12"/>
      <c r="E40" s="12"/>
      <c r="F40" s="69">
        <f>+C38*C40</f>
        <v>0</v>
      </c>
      <c r="H40" s="89"/>
      <c r="I40" s="5"/>
      <c r="J40" s="6"/>
    </row>
    <row r="41" spans="1:10" hidden="1" x14ac:dyDescent="0.2">
      <c r="A41" s="2"/>
      <c r="C41" s="60">
        <f>IF(C34&gt;2,0.31,0)</f>
        <v>0</v>
      </c>
      <c r="D41" s="12"/>
      <c r="E41" s="12"/>
      <c r="F41" s="69">
        <f>+C38*C41</f>
        <v>0</v>
      </c>
      <c r="H41" s="89"/>
      <c r="I41" s="5"/>
      <c r="J41" s="6"/>
    </row>
    <row r="42" spans="1:10" hidden="1" x14ac:dyDescent="0.2">
      <c r="A42" s="26" t="s">
        <v>47</v>
      </c>
      <c r="C42" s="60"/>
      <c r="D42" s="12"/>
      <c r="E42" s="12"/>
      <c r="F42" s="69"/>
      <c r="H42" s="89"/>
      <c r="I42" s="5"/>
      <c r="J42" s="6"/>
    </row>
    <row r="43" spans="1:10" x14ac:dyDescent="0.2">
      <c r="C43" s="60"/>
      <c r="D43" s="65" t="s">
        <v>43</v>
      </c>
      <c r="E43" s="65" t="s">
        <v>44</v>
      </c>
      <c r="H43" s="89"/>
      <c r="I43" s="5"/>
      <c r="J43" s="6"/>
    </row>
    <row r="44" spans="1:10" x14ac:dyDescent="0.2">
      <c r="A44" s="26" t="s">
        <v>20</v>
      </c>
      <c r="D44">
        <f>IF(C34=1,0.12)+IF(C34=2,0.16)+IF(C34&gt;2,0.19)</f>
        <v>0.12</v>
      </c>
      <c r="E44">
        <f>IF(C34=1,0.09)+IF(C34=2,0.12)+IF(C34&gt;2,0.15)</f>
        <v>0.09</v>
      </c>
      <c r="F44">
        <f>IF(F32&lt;200,0,F32)</f>
        <v>3000</v>
      </c>
      <c r="H44" s="89"/>
      <c r="I44" s="5"/>
      <c r="J44" s="6"/>
    </row>
    <row r="45" spans="1:10" x14ac:dyDescent="0.2">
      <c r="A45" s="42" t="s">
        <v>17</v>
      </c>
      <c r="C45" s="31"/>
      <c r="D45" s="17">
        <f>IF(F44&lt;800,F44,800)</f>
        <v>800</v>
      </c>
      <c r="E45" s="17">
        <f>IF(F44&gt;800,(F44-800),0)</f>
        <v>2200</v>
      </c>
      <c r="F45" s="42" t="s">
        <v>18</v>
      </c>
      <c r="H45" s="97">
        <f>IF(J32&lt;800,J32,800)</f>
        <v>800</v>
      </c>
      <c r="I45" s="15">
        <f>IF(J32&gt;800,(J32-800),0)</f>
        <v>2200</v>
      </c>
      <c r="J45" s="6"/>
    </row>
    <row r="46" spans="1:10" x14ac:dyDescent="0.2">
      <c r="A46" s="42" t="s">
        <v>45</v>
      </c>
      <c r="C46" s="31"/>
      <c r="D46" s="8">
        <f>+D45*D44</f>
        <v>96</v>
      </c>
      <c r="E46" s="36">
        <f>+E45*E44</f>
        <v>198</v>
      </c>
      <c r="F46" s="36">
        <f>SUM(D46:E46)</f>
        <v>294</v>
      </c>
      <c r="H46" s="98">
        <f>+H45*D44</f>
        <v>96</v>
      </c>
      <c r="I46" s="14">
        <f>+I45*E44</f>
        <v>198</v>
      </c>
      <c r="J46" s="6"/>
    </row>
    <row r="47" spans="1:10" x14ac:dyDescent="0.2">
      <c r="A47" s="26" t="s">
        <v>46</v>
      </c>
      <c r="F47" s="67">
        <f>SUM(F36:F46)-F44</f>
        <v>294</v>
      </c>
      <c r="H47" s="89"/>
      <c r="I47" s="5"/>
      <c r="J47" s="91">
        <f>SUM(H46:I46)</f>
        <v>294</v>
      </c>
    </row>
    <row r="48" spans="1:10" ht="15.75" x14ac:dyDescent="0.25">
      <c r="A48" s="2" t="s">
        <v>50</v>
      </c>
      <c r="C48" s="20"/>
      <c r="D48" s="18"/>
      <c r="E48" s="19"/>
      <c r="H48" s="89"/>
      <c r="I48" s="5"/>
      <c r="J48" s="6"/>
    </row>
    <row r="49" spans="1:10" x14ac:dyDescent="0.2">
      <c r="A49" s="7" t="s">
        <v>9</v>
      </c>
      <c r="C49" s="21">
        <v>0</v>
      </c>
      <c r="D49" s="5"/>
      <c r="E49" s="6"/>
      <c r="H49" s="89"/>
      <c r="I49" s="5"/>
      <c r="J49" s="6"/>
    </row>
    <row r="50" spans="1:10" x14ac:dyDescent="0.2">
      <c r="A50" s="7" t="s">
        <v>4</v>
      </c>
      <c r="C50" s="21">
        <v>0</v>
      </c>
      <c r="D50" s="5"/>
      <c r="E50" s="6"/>
      <c r="H50" s="89"/>
      <c r="I50" s="5"/>
      <c r="J50" s="6"/>
    </row>
    <row r="51" spans="1:10" x14ac:dyDescent="0.2">
      <c r="A51" s="42" t="s">
        <v>5</v>
      </c>
      <c r="B51" s="8">
        <f>+(365-C50)/7</f>
        <v>52.142857142857146</v>
      </c>
      <c r="C51" s="37">
        <f>+(C49*B51/2)+C50</f>
        <v>0</v>
      </c>
      <c r="D51" s="38"/>
      <c r="E51" s="39"/>
      <c r="H51" s="89"/>
      <c r="I51" s="5"/>
      <c r="J51" s="6"/>
    </row>
    <row r="52" spans="1:10" x14ac:dyDescent="0.2">
      <c r="A52" s="42" t="s">
        <v>6</v>
      </c>
      <c r="C52" s="40"/>
      <c r="D52" s="41"/>
      <c r="E52" s="48">
        <f>IF(C51&gt;51, 0.143, 0)+IF(C51&gt;103, 0.143, 0)+IF(C51&gt;155, 0.143, 0)+IF(C51&gt;181, 0.071)</f>
        <v>0</v>
      </c>
      <c r="F52" s="36">
        <f>+F47*(1-E52)</f>
        <v>294</v>
      </c>
      <c r="H52" s="89"/>
      <c r="I52" s="5"/>
      <c r="J52" s="91">
        <f>+J47*(1-E52)</f>
        <v>294</v>
      </c>
    </row>
    <row r="53" spans="1:10" x14ac:dyDescent="0.2">
      <c r="A53" s="2"/>
      <c r="C53" s="17"/>
      <c r="D53" s="17"/>
      <c r="E53" s="27"/>
      <c r="H53" s="89"/>
      <c r="I53" s="5"/>
      <c r="J53" s="6"/>
    </row>
    <row r="54" spans="1:10" x14ac:dyDescent="0.2">
      <c r="A54" s="71" t="s">
        <v>7</v>
      </c>
      <c r="C54" s="9" t="s">
        <v>0</v>
      </c>
      <c r="D54" s="10" t="s">
        <v>1</v>
      </c>
      <c r="E54" s="11" t="s">
        <v>2</v>
      </c>
      <c r="H54" s="9" t="s">
        <v>0</v>
      </c>
      <c r="I54" s="10" t="s">
        <v>1</v>
      </c>
      <c r="J54" s="11" t="s">
        <v>2</v>
      </c>
    </row>
    <row r="55" spans="1:10" x14ac:dyDescent="0.2">
      <c r="A55" s="26"/>
      <c r="C55" s="23">
        <f>+E55*52</f>
        <v>15288</v>
      </c>
      <c r="D55" s="24">
        <f>+C55/12</f>
        <v>1274</v>
      </c>
      <c r="E55" s="25">
        <f>+F52</f>
        <v>294</v>
      </c>
      <c r="H55" s="92">
        <f>+J55*52</f>
        <v>15288</v>
      </c>
      <c r="I55" s="93">
        <f>+H55/12</f>
        <v>1274</v>
      </c>
      <c r="J55" s="94">
        <f>+J52</f>
        <v>294</v>
      </c>
    </row>
    <row r="56" spans="1:10" hidden="1" x14ac:dyDescent="0.2">
      <c r="A56" s="42" t="s">
        <v>49</v>
      </c>
      <c r="C56" s="17" t="e">
        <f>+E56*52</f>
        <v>#REF!</v>
      </c>
      <c r="D56" s="17" t="e">
        <f>+C56/12</f>
        <v>#REF!</v>
      </c>
      <c r="E56" s="70" t="e">
        <f>+#REF!</f>
        <v>#REF!</v>
      </c>
      <c r="H56" s="89"/>
      <c r="I56" s="5"/>
      <c r="J56" s="6"/>
    </row>
    <row r="57" spans="1:10" hidden="1" x14ac:dyDescent="0.2">
      <c r="A57" s="42"/>
      <c r="C57" s="17">
        <f>IF(C51=0,C55,0)</f>
        <v>15288</v>
      </c>
      <c r="D57" s="17">
        <f>IF(C51=0,D55,0)</f>
        <v>1274</v>
      </c>
      <c r="E57" s="17">
        <f>IF(C51=0,E55,0)</f>
        <v>294</v>
      </c>
      <c r="H57" s="89"/>
      <c r="I57" s="5"/>
      <c r="J57" s="6"/>
    </row>
    <row r="58" spans="1:10" x14ac:dyDescent="0.2">
      <c r="A58" s="88" t="s">
        <v>56</v>
      </c>
      <c r="C58" s="17"/>
      <c r="D58" s="17"/>
      <c r="E58" s="17"/>
      <c r="H58" s="89"/>
      <c r="I58" s="5"/>
      <c r="J58" s="6"/>
    </row>
    <row r="59" spans="1:10" x14ac:dyDescent="0.2">
      <c r="A59" s="75" t="s">
        <v>51</v>
      </c>
      <c r="B59" s="76">
        <f>6/7</f>
        <v>0.8571428571428571</v>
      </c>
      <c r="C59" s="77">
        <f>+C57*$B$59</f>
        <v>13104</v>
      </c>
      <c r="D59" s="77">
        <f>+D57*$B$59</f>
        <v>1092</v>
      </c>
      <c r="E59" s="78">
        <f>+E57*$B$59</f>
        <v>252</v>
      </c>
      <c r="H59" s="99">
        <f t="shared" ref="H59:H61" si="0">+J59*52</f>
        <v>13104</v>
      </c>
      <c r="I59" s="96">
        <f t="shared" ref="I59:I61" si="1">+H59/12</f>
        <v>1092</v>
      </c>
      <c r="J59" s="78">
        <f>+J55*$B$59</f>
        <v>252</v>
      </c>
    </row>
    <row r="60" spans="1:10" x14ac:dyDescent="0.2">
      <c r="A60" s="79" t="s">
        <v>52</v>
      </c>
      <c r="B60" s="80">
        <f>5/7</f>
        <v>0.7142857142857143</v>
      </c>
      <c r="C60" s="81">
        <f>+C57*$B$60</f>
        <v>10920</v>
      </c>
      <c r="D60" s="81">
        <f>+D57*$B$60</f>
        <v>910</v>
      </c>
      <c r="E60" s="82">
        <f>+E57*$B$60</f>
        <v>210</v>
      </c>
      <c r="H60" s="99">
        <f t="shared" si="0"/>
        <v>10920</v>
      </c>
      <c r="I60" s="96">
        <f t="shared" si="1"/>
        <v>910</v>
      </c>
      <c r="J60" s="82">
        <f>+J55*$B$60</f>
        <v>210</v>
      </c>
    </row>
    <row r="61" spans="1:10" x14ac:dyDescent="0.2">
      <c r="A61" s="79" t="s">
        <v>53</v>
      </c>
      <c r="B61" s="80">
        <f>4/7</f>
        <v>0.5714285714285714</v>
      </c>
      <c r="C61" s="81">
        <f>+C57*$B$61</f>
        <v>8736</v>
      </c>
      <c r="D61" s="81">
        <f>+D57*$B$61</f>
        <v>728</v>
      </c>
      <c r="E61" s="82">
        <f>+E57*$B$61</f>
        <v>168</v>
      </c>
      <c r="H61" s="99">
        <f t="shared" si="0"/>
        <v>8736</v>
      </c>
      <c r="I61" s="96">
        <f t="shared" si="1"/>
        <v>728</v>
      </c>
      <c r="J61" s="82">
        <f>+J55*$B$61</f>
        <v>168</v>
      </c>
    </row>
    <row r="62" spans="1:10" x14ac:dyDescent="0.2">
      <c r="A62" s="83" t="s">
        <v>57</v>
      </c>
      <c r="B62" s="95">
        <f>+E57/2-7</f>
        <v>140</v>
      </c>
      <c r="C62" s="96">
        <f>+E62*52</f>
        <v>7280</v>
      </c>
      <c r="D62" s="96">
        <f>+C62/12</f>
        <v>606.66666666666663</v>
      </c>
      <c r="E62" s="96">
        <f>IF($B$62&lt;8,0,$B$62)</f>
        <v>140</v>
      </c>
      <c r="F62" s="60"/>
      <c r="G62" s="60"/>
      <c r="H62" s="99">
        <f>+J62*52</f>
        <v>7280</v>
      </c>
      <c r="I62" s="96">
        <f>+H62/12</f>
        <v>606.66666666666663</v>
      </c>
      <c r="J62" s="95">
        <f>IF($B$62&lt;8,0,$B$62)</f>
        <v>140</v>
      </c>
    </row>
    <row r="63" spans="1:10" x14ac:dyDescent="0.2">
      <c r="A63" s="84"/>
      <c r="B63" s="85"/>
      <c r="C63" s="86"/>
      <c r="D63" s="86"/>
      <c r="E63" s="86"/>
      <c r="J63" s="5"/>
    </row>
    <row r="64" spans="1:10" x14ac:dyDescent="0.2">
      <c r="A64" s="30" t="s">
        <v>23</v>
      </c>
    </row>
    <row r="65" spans="1:1" x14ac:dyDescent="0.2">
      <c r="A65" s="87" t="s">
        <v>55</v>
      </c>
    </row>
  </sheetData>
  <mergeCells count="2">
    <mergeCell ref="C1:E1"/>
    <mergeCell ref="H1:J1"/>
  </mergeCells>
  <phoneticPr fontId="0" type="noConversion"/>
  <printOptions headings="1" gridLines="1"/>
  <pageMargins left="0.74803149606299213" right="0.74803149606299213" top="0.43307086614173229" bottom="0.6692913385826772" header="0.23622047244094491" footer="0.51181102362204722"/>
  <pageSetup paperSize="9" scale="11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1"/>
  <sheetViews>
    <sheetView view="pageBreakPreview" zoomScale="60" zoomScaleNormal="100" workbookViewId="0">
      <selection activeCell="M12" sqref="M12"/>
    </sheetView>
  </sheetViews>
  <sheetFormatPr defaultRowHeight="12.75" x14ac:dyDescent="0.2"/>
  <cols>
    <col min="1" max="1" width="1.42578125" customWidth="1"/>
    <col min="2" max="2" width="28" customWidth="1"/>
    <col min="3" max="3" width="12" customWidth="1"/>
    <col min="4" max="4" width="8.7109375" customWidth="1"/>
    <col min="5" max="5" width="12.7109375" customWidth="1"/>
    <col min="6" max="6" width="11.7109375" customWidth="1"/>
    <col min="7" max="7" width="11.28515625" customWidth="1"/>
    <col min="8" max="8" width="7.28515625" customWidth="1"/>
    <col min="9" max="9" width="8" customWidth="1"/>
  </cols>
  <sheetData>
    <row r="2" spans="2:9" x14ac:dyDescent="0.2">
      <c r="C2" s="176" t="s">
        <v>59</v>
      </c>
      <c r="D2" s="176"/>
      <c r="E2" s="176"/>
      <c r="F2" s="176"/>
    </row>
    <row r="4" spans="2:9" x14ac:dyDescent="0.2">
      <c r="B4" s="100" t="s">
        <v>60</v>
      </c>
      <c r="C4" s="101" t="s">
        <v>61</v>
      </c>
      <c r="D4" s="60"/>
      <c r="E4" s="177" t="s">
        <v>62</v>
      </c>
      <c r="F4" s="177"/>
      <c r="G4" s="177"/>
    </row>
    <row r="5" spans="2:9" x14ac:dyDescent="0.2">
      <c r="B5" s="100" t="s">
        <v>63</v>
      </c>
      <c r="C5" s="102" t="s">
        <v>64</v>
      </c>
      <c r="D5" s="60"/>
      <c r="E5" s="103" t="s">
        <v>65</v>
      </c>
      <c r="F5" s="103"/>
      <c r="G5" s="103"/>
    </row>
    <row r="6" spans="2:9" x14ac:dyDescent="0.2">
      <c r="B6" s="100" t="s">
        <v>66</v>
      </c>
      <c r="C6" s="104" t="s">
        <v>67</v>
      </c>
      <c r="D6" s="60"/>
      <c r="E6" s="60"/>
      <c r="F6" s="60"/>
      <c r="G6" s="60"/>
    </row>
    <row r="8" spans="2:9" ht="15" x14ac:dyDescent="0.25">
      <c r="B8" s="105" t="s">
        <v>68</v>
      </c>
    </row>
    <row r="9" spans="2:9" x14ac:dyDescent="0.2">
      <c r="B9" s="106" t="s">
        <v>69</v>
      </c>
      <c r="C9" s="107" t="s">
        <v>70</v>
      </c>
      <c r="D9" s="107" t="s">
        <v>71</v>
      </c>
      <c r="E9" s="107" t="s">
        <v>72</v>
      </c>
      <c r="F9" s="107" t="s">
        <v>73</v>
      </c>
      <c r="G9" s="108" t="s">
        <v>74</v>
      </c>
      <c r="H9" s="109" t="s">
        <v>75</v>
      </c>
      <c r="I9" s="110"/>
    </row>
    <row r="10" spans="2:9" ht="22.5" x14ac:dyDescent="0.2">
      <c r="B10" s="111" t="s">
        <v>76</v>
      </c>
      <c r="C10" s="112" t="s">
        <v>77</v>
      </c>
      <c r="D10" s="113" t="s">
        <v>78</v>
      </c>
      <c r="G10" s="5"/>
      <c r="H10" s="114" t="s">
        <v>79</v>
      </c>
      <c r="I10" s="115"/>
    </row>
    <row r="11" spans="2:9" ht="36" x14ac:dyDescent="0.2">
      <c r="B11" s="116" t="s">
        <v>80</v>
      </c>
      <c r="C11" s="165" t="s">
        <v>81</v>
      </c>
      <c r="D11" s="174" t="s">
        <v>82</v>
      </c>
      <c r="E11" s="175"/>
      <c r="F11" s="174" t="s">
        <v>150</v>
      </c>
      <c r="G11" s="175"/>
    </row>
    <row r="12" spans="2:9" x14ac:dyDescent="0.2">
      <c r="B12" s="117" t="s">
        <v>83</v>
      </c>
    </row>
    <row r="13" spans="2:9" x14ac:dyDescent="0.2">
      <c r="B13" s="117" t="s">
        <v>84</v>
      </c>
      <c r="C13" t="s">
        <v>147</v>
      </c>
    </row>
    <row r="14" spans="2:9" x14ac:dyDescent="0.2">
      <c r="B14" s="117" t="s">
        <v>85</v>
      </c>
      <c r="C14" t="s">
        <v>147</v>
      </c>
    </row>
    <row r="15" spans="2:9" x14ac:dyDescent="0.2">
      <c r="B15" s="117" t="s">
        <v>86</v>
      </c>
      <c r="C15" t="s">
        <v>148</v>
      </c>
    </row>
    <row r="16" spans="2:9" ht="18" x14ac:dyDescent="0.2">
      <c r="B16" s="118" t="s">
        <v>87</v>
      </c>
      <c r="C16" s="119" t="s">
        <v>88</v>
      </c>
      <c r="D16" s="120" t="s">
        <v>89</v>
      </c>
      <c r="E16" s="121" t="s">
        <v>90</v>
      </c>
      <c r="F16" s="122"/>
      <c r="G16" s="178" t="s">
        <v>91</v>
      </c>
      <c r="H16" s="178"/>
      <c r="I16" s="178"/>
    </row>
    <row r="17" spans="2:9" ht="24" x14ac:dyDescent="0.2">
      <c r="B17" s="123" t="s">
        <v>92</v>
      </c>
      <c r="C17" s="124" t="s">
        <v>93</v>
      </c>
      <c r="D17" s="125" t="s">
        <v>94</v>
      </c>
      <c r="E17" s="125" t="s">
        <v>95</v>
      </c>
      <c r="F17" s="125" t="s">
        <v>96</v>
      </c>
      <c r="G17" s="126" t="s">
        <v>97</v>
      </c>
      <c r="H17" s="126" t="s">
        <v>98</v>
      </c>
      <c r="I17" s="115"/>
    </row>
    <row r="19" spans="2:9" ht="15" x14ac:dyDescent="0.25">
      <c r="B19" s="127" t="s">
        <v>99</v>
      </c>
      <c r="C19" s="128"/>
      <c r="E19" s="129" t="s">
        <v>100</v>
      </c>
      <c r="F19" s="130"/>
      <c r="G19" s="130"/>
      <c r="H19" s="130"/>
      <c r="I19" s="131"/>
    </row>
    <row r="20" spans="2:9" x14ac:dyDescent="0.2">
      <c r="B20" s="132" t="s">
        <v>101</v>
      </c>
      <c r="C20" s="133" t="s">
        <v>102</v>
      </c>
      <c r="E20" s="134" t="s">
        <v>103</v>
      </c>
      <c r="F20" s="135"/>
      <c r="G20" s="135"/>
      <c r="H20" s="135"/>
      <c r="I20" s="136"/>
    </row>
    <row r="21" spans="2:9" x14ac:dyDescent="0.2">
      <c r="B21" s="132" t="s">
        <v>104</v>
      </c>
      <c r="C21" s="133" t="s">
        <v>105</v>
      </c>
      <c r="E21" s="134" t="s">
        <v>106</v>
      </c>
      <c r="F21" s="135"/>
      <c r="G21" s="135"/>
      <c r="H21" s="135"/>
      <c r="I21" s="136"/>
    </row>
    <row r="22" spans="2:9" x14ac:dyDescent="0.2">
      <c r="B22" s="132" t="s">
        <v>107</v>
      </c>
      <c r="C22" s="133" t="s">
        <v>108</v>
      </c>
      <c r="E22" s="137" t="s">
        <v>109</v>
      </c>
      <c r="F22" s="135"/>
      <c r="G22" s="135"/>
      <c r="H22" s="135"/>
      <c r="I22" s="136"/>
    </row>
    <row r="23" spans="2:9" x14ac:dyDescent="0.2">
      <c r="B23" s="132" t="s">
        <v>110</v>
      </c>
      <c r="C23" s="133" t="s">
        <v>111</v>
      </c>
      <c r="E23" s="137"/>
      <c r="F23" s="135"/>
      <c r="G23" s="135"/>
      <c r="H23" s="135"/>
      <c r="I23" s="136"/>
    </row>
    <row r="24" spans="2:9" x14ac:dyDescent="0.2">
      <c r="B24" s="138" t="s">
        <v>112</v>
      </c>
      <c r="C24" s="139" t="s">
        <v>113</v>
      </c>
      <c r="E24" s="140" t="s">
        <v>114</v>
      </c>
      <c r="F24" s="141"/>
      <c r="G24" s="141"/>
      <c r="H24" s="141"/>
      <c r="I24" s="142"/>
    </row>
    <row r="26" spans="2:9" ht="15" x14ac:dyDescent="0.25">
      <c r="B26" s="143" t="s">
        <v>115</v>
      </c>
      <c r="C26" s="144"/>
      <c r="E26" s="145" t="s">
        <v>116</v>
      </c>
      <c r="F26" s="146"/>
      <c r="G26" s="147"/>
    </row>
    <row r="27" spans="2:9" ht="24" x14ac:dyDescent="0.2">
      <c r="B27" s="148" t="s">
        <v>117</v>
      </c>
      <c r="C27" s="149" t="s">
        <v>118</v>
      </c>
      <c r="E27" s="179" t="s">
        <v>119</v>
      </c>
      <c r="F27" s="179"/>
      <c r="G27" s="179"/>
    </row>
    <row r="28" spans="2:9" x14ac:dyDescent="0.2">
      <c r="B28" s="150" t="s">
        <v>120</v>
      </c>
      <c r="C28" s="151" t="s">
        <v>121</v>
      </c>
      <c r="E28" s="170" t="s">
        <v>122</v>
      </c>
      <c r="F28" s="171"/>
      <c r="G28" s="172"/>
    </row>
    <row r="29" spans="2:9" ht="24" x14ac:dyDescent="0.2">
      <c r="B29" s="152" t="s">
        <v>123</v>
      </c>
      <c r="C29" s="152" t="s">
        <v>124</v>
      </c>
      <c r="E29" s="180" t="s">
        <v>125</v>
      </c>
      <c r="F29" s="181"/>
      <c r="G29" s="182"/>
    </row>
    <row r="30" spans="2:9" ht="36" x14ac:dyDescent="0.2">
      <c r="B30" s="150" t="s">
        <v>126</v>
      </c>
      <c r="C30" s="151" t="s">
        <v>127</v>
      </c>
      <c r="E30" s="183" t="s">
        <v>128</v>
      </c>
      <c r="F30" s="183"/>
      <c r="G30" s="183"/>
    </row>
    <row r="31" spans="2:9" ht="24" x14ac:dyDescent="0.2">
      <c r="B31" s="152" t="s">
        <v>129</v>
      </c>
      <c r="C31" s="151" t="s">
        <v>130</v>
      </c>
    </row>
    <row r="32" spans="2:9" x14ac:dyDescent="0.2">
      <c r="B32" s="153"/>
      <c r="C32" s="154"/>
    </row>
    <row r="33" spans="2:7" ht="15" x14ac:dyDescent="0.25">
      <c r="B33" s="155" t="s">
        <v>131</v>
      </c>
      <c r="E33" s="156" t="s">
        <v>132</v>
      </c>
      <c r="F33" s="157"/>
      <c r="G33" s="158"/>
    </row>
    <row r="34" spans="2:7" ht="25.5" x14ac:dyDescent="0.2">
      <c r="B34" s="159" t="s">
        <v>133</v>
      </c>
      <c r="E34" s="184" t="s">
        <v>134</v>
      </c>
      <c r="F34" s="184"/>
      <c r="G34" s="184"/>
    </row>
    <row r="35" spans="2:7" x14ac:dyDescent="0.2">
      <c r="B35" s="160" t="s">
        <v>135</v>
      </c>
      <c r="E35" s="173" t="s">
        <v>136</v>
      </c>
      <c r="F35" s="173"/>
      <c r="G35" s="161"/>
    </row>
    <row r="36" spans="2:7" x14ac:dyDescent="0.2">
      <c r="B36" s="162" t="s">
        <v>137</v>
      </c>
      <c r="E36" s="173" t="s">
        <v>138</v>
      </c>
      <c r="F36" s="173"/>
      <c r="G36" s="161"/>
    </row>
    <row r="37" spans="2:7" ht="25.5" x14ac:dyDescent="0.2">
      <c r="B37" s="159" t="s">
        <v>139</v>
      </c>
      <c r="E37" s="173" t="s">
        <v>140</v>
      </c>
      <c r="F37" s="173"/>
      <c r="G37" s="161"/>
    </row>
    <row r="38" spans="2:7" x14ac:dyDescent="0.2">
      <c r="B38" s="160" t="s">
        <v>141</v>
      </c>
      <c r="E38" s="173" t="s">
        <v>142</v>
      </c>
      <c r="F38" s="173"/>
      <c r="G38" s="161"/>
    </row>
    <row r="39" spans="2:7" x14ac:dyDescent="0.2">
      <c r="B39" s="163" t="s">
        <v>143</v>
      </c>
      <c r="E39" s="173" t="s">
        <v>144</v>
      </c>
      <c r="F39" s="173"/>
      <c r="G39" s="164"/>
    </row>
    <row r="40" spans="2:7" x14ac:dyDescent="0.2">
      <c r="B40" s="162" t="s">
        <v>145</v>
      </c>
      <c r="E40" s="173" t="s">
        <v>149</v>
      </c>
      <c r="F40" s="173"/>
    </row>
    <row r="41" spans="2:7" x14ac:dyDescent="0.2">
      <c r="B41" s="160" t="s">
        <v>146</v>
      </c>
    </row>
  </sheetData>
  <mergeCells count="16">
    <mergeCell ref="E28:G28"/>
    <mergeCell ref="E40:F40"/>
    <mergeCell ref="F11:G11"/>
    <mergeCell ref="C2:F2"/>
    <mergeCell ref="E4:G4"/>
    <mergeCell ref="D11:E11"/>
    <mergeCell ref="G16:I16"/>
    <mergeCell ref="E27:G27"/>
    <mergeCell ref="E38:F38"/>
    <mergeCell ref="E39:F39"/>
    <mergeCell ref="E29:G29"/>
    <mergeCell ref="E30:G30"/>
    <mergeCell ref="E34:G34"/>
    <mergeCell ref="E35:F35"/>
    <mergeCell ref="E36:F36"/>
    <mergeCell ref="E37:F37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CS3</vt:lpstr>
      <vt:lpstr>Sheet1</vt:lpstr>
    </vt:vector>
  </TitlesOfParts>
  <Company>Family Law Consortium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FLC User</dc:creator>
  <cp:lastModifiedBy>Elizabeth Kolawole</cp:lastModifiedBy>
  <cp:lastPrinted>2018-07-04T07:18:47Z</cp:lastPrinted>
  <dcterms:created xsi:type="dcterms:W3CDTF">2000-10-09T13:47:42Z</dcterms:created>
  <dcterms:modified xsi:type="dcterms:W3CDTF">2018-07-05T12:43:34Z</dcterms:modified>
</cp:coreProperties>
</file>